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5" windowWidth="11370" windowHeight="6825" firstSheet="1" activeTab="1"/>
  </bookViews>
  <sheets>
    <sheet name="Grand Naine" sheetId="1" r:id="rId1"/>
    <sheet name="Nendran" sheetId="2" r:id="rId2"/>
    <sheet name="Poovan" sheetId="3" r:id="rId3"/>
    <sheet name="Ney Poovan" sheetId="4" r:id="rId4"/>
    <sheet name="Rasthali" sheetId="5" r:id="rId5"/>
    <sheet name="Karpuravalli" sheetId="6" r:id="rId6"/>
  </sheets>
  <calcPr calcId="124519"/>
</workbook>
</file>

<file path=xl/calcChain.xml><?xml version="1.0" encoding="utf-8"?>
<calcChain xmlns="http://schemas.openxmlformats.org/spreadsheetml/2006/main">
  <c r="G3" i="6"/>
  <c r="G2"/>
  <c r="G1"/>
  <c r="G18"/>
  <c r="G11"/>
  <c r="G15" s="1"/>
  <c r="G10"/>
  <c r="G14" s="1"/>
  <c r="G9"/>
  <c r="G13" s="1"/>
  <c r="G16" s="1"/>
  <c r="G3" i="5"/>
  <c r="G2"/>
  <c r="G1"/>
  <c r="G18"/>
  <c r="G11"/>
  <c r="G15" s="1"/>
  <c r="G10"/>
  <c r="G14" s="1"/>
  <c r="G9"/>
  <c r="G13" s="1"/>
  <c r="G16" s="1"/>
  <c r="G3" i="4"/>
  <c r="G2"/>
  <c r="G1"/>
  <c r="G18"/>
  <c r="G11"/>
  <c r="G15" s="1"/>
  <c r="G10"/>
  <c r="G14" s="1"/>
  <c r="G9"/>
  <c r="G13" s="1"/>
  <c r="G16" s="1"/>
  <c r="G20" i="3"/>
  <c r="G3"/>
  <c r="G7" s="1"/>
  <c r="G2"/>
  <c r="G6" s="1"/>
  <c r="G1"/>
  <c r="G5" s="1"/>
  <c r="G18"/>
  <c r="G11"/>
  <c r="G15" s="1"/>
  <c r="G10"/>
  <c r="G14" s="1"/>
  <c r="G9"/>
  <c r="G13" s="1"/>
  <c r="G16" s="1"/>
  <c r="G3" i="2"/>
  <c r="G2"/>
  <c r="G1"/>
  <c r="G18"/>
  <c r="G11"/>
  <c r="G15" s="1"/>
  <c r="G10"/>
  <c r="G14" s="1"/>
  <c r="G9"/>
  <c r="G13" s="1"/>
  <c r="G16" s="1"/>
  <c r="G3" i="1"/>
  <c r="G7" s="1"/>
  <c r="G2"/>
  <c r="G10" s="1"/>
  <c r="G14" s="1"/>
  <c r="G1"/>
  <c r="G5" s="1"/>
  <c r="G18"/>
  <c r="G20" i="6" l="1"/>
  <c r="G5"/>
  <c r="G6"/>
  <c r="G7"/>
  <c r="G20" i="5"/>
  <c r="G5"/>
  <c r="G6"/>
  <c r="G7"/>
  <c r="G20" i="4"/>
  <c r="G5"/>
  <c r="G6"/>
  <c r="G7"/>
  <c r="G20" i="2"/>
  <c r="G5"/>
  <c r="G6"/>
  <c r="G7"/>
  <c r="G11" i="1"/>
  <c r="G15" s="1"/>
  <c r="G6"/>
  <c r="G9"/>
  <c r="G13" s="1"/>
  <c r="G16" l="1"/>
  <c r="G20" s="1"/>
</calcChain>
</file>

<file path=xl/comments1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Grand Naine in the market at the time of harvest (prediction)</t>
        </r>
      </text>
    </comment>
  </commentList>
</comments>
</file>

<file path=xl/comments2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Nendran in the market at the time of harvest (prediction)</t>
        </r>
      </text>
    </comment>
  </commentList>
</comments>
</file>

<file path=xl/comments3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Poovan
 in the market at the time of harvest (prediction)</t>
        </r>
      </text>
    </comment>
  </commentList>
</comments>
</file>

<file path=xl/comments4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Ney Poovan in the market at the time of harvest (prediction)</t>
        </r>
      </text>
    </comment>
  </commentList>
</comments>
</file>

<file path=xl/comments5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Rasthali in the market at the time of harvest (prediction)</t>
        </r>
      </text>
    </comment>
  </commentList>
</comments>
</file>

<file path=xl/comments6.xml><?xml version="1.0" encoding="utf-8"?>
<comments xmlns="http://schemas.openxmlformats.org/spreadsheetml/2006/main">
  <authors>
    <author>all</author>
    <author>MAHES</author>
  </authors>
  <commentList>
    <comment ref="B1" authorId="0">
      <text>
        <r>
          <rPr>
            <b/>
            <sz val="8"/>
            <color indexed="81"/>
            <rFont val="Tahoma"/>
          </rPr>
          <t>Give initial soil N in kg/ha</t>
        </r>
      </text>
    </comment>
    <comment ref="B2" authorId="0">
      <text>
        <r>
          <rPr>
            <b/>
            <sz val="8"/>
            <color indexed="81"/>
            <rFont val="Tahoma"/>
          </rPr>
          <t>Give initial soil P2O5 in kg/ha</t>
        </r>
      </text>
    </comment>
    <comment ref="B3" authorId="0">
      <text>
        <r>
          <rPr>
            <b/>
            <sz val="8"/>
            <color indexed="81"/>
            <rFont val="Tahoma"/>
          </rPr>
          <t>Give initial soil K2O in kg/ha</t>
        </r>
      </text>
    </comment>
    <comment ref="B4" authorId="0">
      <text>
        <r>
          <rPr>
            <b/>
            <sz val="8"/>
            <color indexed="81"/>
            <rFont val="Tahoma"/>
          </rPr>
          <t>Give yield target of Grand Naine in t/ha</t>
        </r>
      </text>
    </comment>
    <comment ref="C6" authorId="0">
      <text>
        <r>
          <rPr>
            <b/>
            <sz val="8"/>
            <color indexed="81"/>
            <rFont val="Tahoma"/>
          </rPr>
          <t>Give cost of Urea in Rs. per 50kg.</t>
        </r>
      </text>
    </comment>
    <comment ref="C7" authorId="0">
      <text>
        <r>
          <rPr>
            <b/>
            <sz val="8"/>
            <color indexed="81"/>
            <rFont val="Tahoma"/>
          </rPr>
          <t>Give cost of super phosphate in Rs. per 50kg.</t>
        </r>
      </text>
    </comment>
    <comment ref="C8" authorId="0">
      <text>
        <r>
          <rPr>
            <b/>
            <sz val="8"/>
            <color indexed="81"/>
            <rFont val="Tahoma"/>
          </rPr>
          <t>Give cost of Muriate of potash in Rs. per 50kg.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Cost of cultivation of one plant exclusive of fertiliser cost?</t>
        </r>
      </text>
    </comment>
    <comment ref="C11" authorId="0">
      <text>
        <r>
          <rPr>
            <b/>
            <sz val="8"/>
            <color indexed="81"/>
            <rFont val="Tahoma"/>
          </rPr>
          <t>Price of Karpuravalli in the market at the time of harvest (prediction)</t>
        </r>
      </text>
    </comment>
  </commentList>
</comments>
</file>

<file path=xl/sharedStrings.xml><?xml version="1.0" encoding="utf-8"?>
<sst xmlns="http://schemas.openxmlformats.org/spreadsheetml/2006/main" count="162" uniqueCount="37">
  <si>
    <t>Fert.N (kg/ha)</t>
  </si>
  <si>
    <t>Fert.P2O5 (kg/ha)</t>
  </si>
  <si>
    <t>Fert.K2O (kg/ha)</t>
  </si>
  <si>
    <t>Soil N ?</t>
  </si>
  <si>
    <t>Soil P2O5 ?</t>
  </si>
  <si>
    <t>Soil K2O ?</t>
  </si>
  <si>
    <t>N/plant (g/plant)</t>
  </si>
  <si>
    <t>P/plant (g/plant)</t>
  </si>
  <si>
    <t>K/plant (g/plant)</t>
  </si>
  <si>
    <t>Urea (kg/ha)</t>
  </si>
  <si>
    <t>Super phos.(kg/ha)</t>
  </si>
  <si>
    <t>MOP (kg/ha)</t>
  </si>
  <si>
    <t>Cost of 50 kg Urea?</t>
  </si>
  <si>
    <t>Cost of 50 kg Super?</t>
  </si>
  <si>
    <t>Cost of 50 kg MOP ?</t>
  </si>
  <si>
    <t>Total Exp.due to fert.</t>
  </si>
  <si>
    <t>per kg in Rs.?</t>
  </si>
  <si>
    <t>Gross Profit Rs./ha</t>
  </si>
  <si>
    <t>Exp.due to Urea/ha</t>
  </si>
  <si>
    <t>Exp.due to Super/ha</t>
  </si>
  <si>
    <t>Exp.due to MOP/ha</t>
  </si>
  <si>
    <t>Net Profit Rs./ha</t>
  </si>
  <si>
    <t>Target (t/ha)</t>
  </si>
  <si>
    <t>Exptd.Grand Naine Price</t>
  </si>
  <si>
    <t xml:space="preserve">FERTILIZER TAILORING  </t>
  </si>
  <si>
    <t xml:space="preserve">      IN GRAND NAINE</t>
  </si>
  <si>
    <t>Cost of cultn. Per Plant excl.fert.?</t>
  </si>
  <si>
    <t xml:space="preserve">      IN NENDRAN</t>
  </si>
  <si>
    <t xml:space="preserve">      IN POOVAN</t>
  </si>
  <si>
    <t>Exptd.Nendran Price</t>
  </si>
  <si>
    <t>Exptd.Poovan Price</t>
  </si>
  <si>
    <t>Exptd.Ney Poovan Price</t>
  </si>
  <si>
    <t xml:space="preserve">      IN NEY POOVAN</t>
  </si>
  <si>
    <t>Exptd.Rasthali Price</t>
  </si>
  <si>
    <t xml:space="preserve">      IN RASTHALI</t>
  </si>
  <si>
    <t>Exptd.Karpuravalli</t>
  </si>
  <si>
    <t xml:space="preserve">      IN KARPURAVALLI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</si>
</sst>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TAM_ELANGO_Barathi"/>
    </font>
    <font>
      <sz val="10"/>
      <color indexed="57"/>
      <name val="Arial"/>
      <family val="2"/>
    </font>
    <font>
      <sz val="10"/>
      <color indexed="53"/>
      <name val="Arial"/>
      <family val="2"/>
    </font>
    <font>
      <b/>
      <sz val="12"/>
      <color indexed="20"/>
      <name val="Arial"/>
      <family val="2"/>
    </font>
    <font>
      <b/>
      <sz val="16"/>
      <color indexed="11"/>
      <name val="Arial"/>
      <family val="2"/>
    </font>
    <font>
      <b/>
      <sz val="10"/>
      <color indexed="14"/>
      <name val="TAM_ELANGO_Barathi"/>
    </font>
    <font>
      <sz val="10"/>
      <name val="Arial"/>
      <family val="2"/>
    </font>
    <font>
      <b/>
      <sz val="8"/>
      <color indexed="81"/>
      <name val="Tahoma"/>
    </font>
    <font>
      <sz val="14"/>
      <color indexed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theme="3"/>
      <name val="Arial"/>
      <family val="2"/>
    </font>
    <font>
      <sz val="10"/>
      <color rgb="FF00B050"/>
      <name val="Arial"/>
      <family val="2"/>
    </font>
    <font>
      <b/>
      <sz val="16"/>
      <color rgb="FFFFFF00"/>
      <name val="Arial"/>
      <family val="2"/>
    </font>
    <font>
      <b/>
      <sz val="12"/>
      <color rgb="FF00B05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/>
      <bottom style="double">
        <color rgb="FFFF0000"/>
      </bottom>
      <diagonal/>
    </border>
    <border>
      <left style="thin">
        <color rgb="FF0070C0"/>
      </left>
      <right style="double">
        <color rgb="FFFF0000"/>
      </right>
      <top style="double">
        <color rgb="FFFF0000"/>
      </top>
      <bottom/>
      <diagonal/>
    </border>
    <border>
      <left/>
      <right style="thin">
        <color rgb="FFFFFF00"/>
      </right>
      <top/>
      <bottom style="double">
        <color rgb="FFFF0000"/>
      </bottom>
      <diagonal/>
    </border>
    <border>
      <left style="thin">
        <color rgb="FFFFFF00"/>
      </left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2" fontId="0" fillId="0" borderId="0" xfId="0" applyNumberFormat="1"/>
    <xf numFmtId="2" fontId="1" fillId="0" borderId="0" xfId="0" applyNumberFormat="1" applyFont="1"/>
    <xf numFmtId="0" fontId="16" fillId="0" borderId="0" xfId="0" applyFont="1"/>
    <xf numFmtId="0" fontId="15" fillId="2" borderId="0" xfId="0" applyFont="1" applyFill="1"/>
    <xf numFmtId="0" fontId="0" fillId="3" borderId="0" xfId="0" applyFill="1"/>
    <xf numFmtId="0" fontId="0" fillId="3" borderId="0" xfId="0" applyFill="1" applyBorder="1"/>
    <xf numFmtId="0" fontId="17" fillId="0" borderId="0" xfId="0" applyFont="1"/>
    <xf numFmtId="0" fontId="0" fillId="0" borderId="0" xfId="0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8" fillId="4" borderId="0" xfId="0" applyFont="1" applyFill="1"/>
    <xf numFmtId="0" fontId="18" fillId="4" borderId="2" xfId="0" applyFont="1" applyFill="1" applyBorder="1"/>
    <xf numFmtId="0" fontId="0" fillId="3" borderId="2" xfId="0" applyFill="1" applyBorder="1"/>
    <xf numFmtId="0" fontId="19" fillId="0" borderId="0" xfId="0" applyFont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227880" y="3931081"/>
          <a:ext cx="839492" cy="395529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230140" y="3965468"/>
          <a:ext cx="835618" cy="398596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230140" y="3965468"/>
          <a:ext cx="835618" cy="398596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363490" y="3965468"/>
          <a:ext cx="835618" cy="398596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401590" y="3965468"/>
          <a:ext cx="835618" cy="398596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363240</xdr:colOff>
      <xdr:row>18</xdr:row>
      <xdr:rowOff>88793</xdr:rowOff>
    </xdr:from>
    <xdr:to>
      <xdr:col>3</xdr:col>
      <xdr:colOff>589258</xdr:colOff>
      <xdr:row>20</xdr:row>
      <xdr:rowOff>96864</xdr:rowOff>
    </xdr:to>
    <xdr:sp macro="" textlink="">
      <xdr:nvSpPr>
        <xdr:cNvPr id="2" name="Right Arrow 1"/>
        <xdr:cNvSpPr/>
      </xdr:nvSpPr>
      <xdr:spPr bwMode="auto">
        <a:xfrm>
          <a:off x="2515890" y="3965468"/>
          <a:ext cx="835618" cy="398596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sqref="A1:G20"/>
    </sheetView>
  </sheetViews>
  <sheetFormatPr defaultRowHeight="12.75"/>
  <cols>
    <col min="1" max="1" width="16.7109375" customWidth="1"/>
    <col min="2" max="2" width="11.28515625" customWidth="1"/>
    <col min="6" max="6" width="12" customWidth="1"/>
    <col min="7" max="7" width="16.140625" customWidth="1"/>
  </cols>
  <sheetData>
    <row r="1" spans="1:9" ht="18">
      <c r="A1" s="11" t="s">
        <v>3</v>
      </c>
      <c r="B1" s="12">
        <v>150</v>
      </c>
      <c r="C1" s="12"/>
      <c r="D1" s="12"/>
      <c r="E1" t="s">
        <v>0</v>
      </c>
      <c r="G1" s="13">
        <f>(8.8*B4)-(0.73*B1)</f>
        <v>682.50000000000011</v>
      </c>
      <c r="I1" s="5"/>
    </row>
    <row r="2" spans="1:9" ht="18">
      <c r="A2" s="11" t="s">
        <v>4</v>
      </c>
      <c r="B2" s="12">
        <v>9</v>
      </c>
      <c r="C2" s="12"/>
      <c r="D2" s="12"/>
      <c r="E2" t="s">
        <v>1</v>
      </c>
      <c r="G2" s="13">
        <f>(0.84*B4)-(0.77*B2)</f>
        <v>68.669999999999987</v>
      </c>
    </row>
    <row r="3" spans="1:9" ht="18">
      <c r="A3" s="11" t="s">
        <v>5</v>
      </c>
      <c r="B3" s="12">
        <v>205</v>
      </c>
      <c r="C3" s="12"/>
      <c r="D3" s="12"/>
      <c r="E3" t="s">
        <v>2</v>
      </c>
      <c r="G3" s="13">
        <f>(11.21*B4)-(0.44*B3)</f>
        <v>918.7</v>
      </c>
    </row>
    <row r="4" spans="1:9" ht="18">
      <c r="A4" s="11" t="s">
        <v>22</v>
      </c>
      <c r="B4" s="12">
        <v>90</v>
      </c>
      <c r="C4" s="12"/>
      <c r="D4" s="12"/>
      <c r="G4" s="13"/>
    </row>
    <row r="5" spans="1:9" ht="18">
      <c r="A5" s="11"/>
      <c r="B5" s="12"/>
      <c r="C5" s="12"/>
      <c r="D5" s="12"/>
      <c r="E5" t="s">
        <v>6</v>
      </c>
      <c r="G5" s="13">
        <f>(G1/3000)*1000</f>
        <v>227.50000000000003</v>
      </c>
    </row>
    <row r="6" spans="1:9" ht="18">
      <c r="A6" s="11" t="s">
        <v>12</v>
      </c>
      <c r="B6" s="12"/>
      <c r="C6" s="12">
        <v>290</v>
      </c>
      <c r="D6" s="12"/>
      <c r="E6" t="s">
        <v>7</v>
      </c>
      <c r="G6" s="13">
        <f>(G2/3000)*1000</f>
        <v>22.889999999999997</v>
      </c>
    </row>
    <row r="7" spans="1:9" ht="18">
      <c r="A7" s="11" t="s">
        <v>13</v>
      </c>
      <c r="B7" s="12"/>
      <c r="C7" s="12">
        <v>310</v>
      </c>
      <c r="D7" s="12"/>
      <c r="E7" t="s">
        <v>8</v>
      </c>
      <c r="G7" s="13">
        <f>(G3/3000)*1000</f>
        <v>306.23333333333335</v>
      </c>
    </row>
    <row r="8" spans="1:9" ht="18">
      <c r="A8" s="11" t="s">
        <v>14</v>
      </c>
      <c r="B8" s="12"/>
      <c r="C8" s="12">
        <v>580</v>
      </c>
      <c r="D8" s="12"/>
      <c r="G8" s="13"/>
    </row>
    <row r="9" spans="1:9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1483.6956521739132</v>
      </c>
    </row>
    <row r="10" spans="1:9" ht="18">
      <c r="A10" s="11" t="s">
        <v>23</v>
      </c>
      <c r="B10" s="12"/>
      <c r="C10" s="12"/>
      <c r="D10" s="12"/>
      <c r="E10" t="s">
        <v>10</v>
      </c>
      <c r="G10" s="13">
        <f>(100/16)*G2</f>
        <v>429.18749999999994</v>
      </c>
    </row>
    <row r="11" spans="1:9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1531.1666666666667</v>
      </c>
    </row>
    <row r="12" spans="1:9">
      <c r="G12" s="13"/>
    </row>
    <row r="13" spans="1:9">
      <c r="C13" s="18"/>
      <c r="E13" t="s">
        <v>18</v>
      </c>
      <c r="G13" s="13">
        <f>(G9/50)*C6</f>
        <v>8605.4347826086978</v>
      </c>
    </row>
    <row r="14" spans="1:9">
      <c r="A14" s="17"/>
      <c r="B14" s="17"/>
      <c r="C14" s="17"/>
      <c r="D14" s="17"/>
      <c r="E14" t="s">
        <v>19</v>
      </c>
      <c r="G14" s="13">
        <f>(G10/50)*C7</f>
        <v>2660.9624999999996</v>
      </c>
    </row>
    <row r="15" spans="1:9" ht="13.5" thickBot="1">
      <c r="A15" s="27"/>
      <c r="B15" s="27"/>
      <c r="C15" s="27"/>
      <c r="D15" s="17"/>
      <c r="E15" t="s">
        <v>20</v>
      </c>
      <c r="G15" s="13">
        <f>(G11/50)*C8</f>
        <v>17761.533333333333</v>
      </c>
    </row>
    <row r="16" spans="1:9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29027.93061594203</v>
      </c>
    </row>
    <row r="17" spans="1:7" ht="21" thickBot="1">
      <c r="A17" s="26" t="s">
        <v>25</v>
      </c>
      <c r="B17" s="23"/>
      <c r="C17" s="24"/>
      <c r="D17" s="20"/>
    </row>
    <row r="18" spans="1:7" ht="13.5" thickTop="1">
      <c r="A18" s="17"/>
      <c r="B18" s="17"/>
      <c r="C18" s="17"/>
      <c r="D18" s="17"/>
      <c r="E18" s="1" t="s">
        <v>17</v>
      </c>
      <c r="G18" s="4">
        <f>(B4*1000*C11)</f>
        <v>1350000</v>
      </c>
    </row>
    <row r="19" spans="1:7">
      <c r="A19" s="17"/>
      <c r="B19" s="17"/>
      <c r="C19" s="17"/>
      <c r="D19" s="17"/>
    </row>
    <row r="20" spans="1:7" ht="18">
      <c r="E20" s="28" t="s">
        <v>21</v>
      </c>
      <c r="F20" s="15"/>
      <c r="G20" s="16">
        <f>G18-G16-(C9*3000)</f>
        <v>1080972.069384058</v>
      </c>
    </row>
    <row r="22" spans="1:7">
      <c r="A22" s="19"/>
    </row>
    <row r="23" spans="1:7">
      <c r="E23" s="2"/>
    </row>
  </sheetData>
  <phoneticPr fontId="0" type="noConversion"/>
  <pageMargins left="0.75" right="0.75" top="1" bottom="1" header="0.5" footer="0.5"/>
  <pageSetup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J21" sqref="J21"/>
    </sheetView>
  </sheetViews>
  <sheetFormatPr defaultRowHeight="12.75"/>
  <cols>
    <col min="1" max="1" width="22.42578125" customWidth="1"/>
    <col min="7" max="7" width="14.7109375" customWidth="1"/>
    <col min="10" max="10" width="15.42578125" bestFit="1" customWidth="1"/>
  </cols>
  <sheetData>
    <row r="1" spans="1:10" ht="18">
      <c r="A1" s="11" t="s">
        <v>3</v>
      </c>
      <c r="B1" s="12">
        <v>150</v>
      </c>
      <c r="C1" s="12"/>
      <c r="D1" s="12"/>
      <c r="E1" t="s">
        <v>0</v>
      </c>
      <c r="G1" s="13">
        <f>(29.8*B4)-(0.97*B1)</f>
        <v>1344.5</v>
      </c>
      <c r="H1" s="2"/>
    </row>
    <row r="2" spans="1:10" ht="18">
      <c r="A2" s="11" t="s">
        <v>4</v>
      </c>
      <c r="B2" s="12">
        <v>9</v>
      </c>
      <c r="C2" s="12"/>
      <c r="D2" s="12"/>
      <c r="E2" t="s">
        <v>1</v>
      </c>
      <c r="G2" s="13">
        <f>(5.45*B4)-(1.24*B2)</f>
        <v>261.33999999999997</v>
      </c>
      <c r="H2" s="2"/>
    </row>
    <row r="3" spans="1:10" ht="18">
      <c r="A3" s="11" t="s">
        <v>5</v>
      </c>
      <c r="B3" s="12">
        <v>205</v>
      </c>
      <c r="C3" s="12"/>
      <c r="D3" s="12"/>
      <c r="E3" t="s">
        <v>2</v>
      </c>
      <c r="G3" s="13">
        <f>(57.92*B4)-(0.92*B3)</f>
        <v>2707.4</v>
      </c>
      <c r="H3" s="2"/>
    </row>
    <row r="4" spans="1:10" ht="18">
      <c r="A4" s="11" t="s">
        <v>22</v>
      </c>
      <c r="B4" s="12">
        <v>50</v>
      </c>
      <c r="C4" s="12"/>
      <c r="D4" s="12"/>
      <c r="G4" s="13"/>
    </row>
    <row r="5" spans="1:10" ht="18">
      <c r="A5" s="11"/>
      <c r="B5" s="12"/>
      <c r="C5" s="12"/>
      <c r="D5" s="12"/>
      <c r="E5" t="s">
        <v>6</v>
      </c>
      <c r="G5" s="13">
        <f>(G1/3000)*1000</f>
        <v>448.16666666666669</v>
      </c>
      <c r="H5" s="1"/>
    </row>
    <row r="6" spans="1:10" ht="18">
      <c r="A6" s="11" t="s">
        <v>12</v>
      </c>
      <c r="B6" s="12"/>
      <c r="C6" s="12">
        <v>290</v>
      </c>
      <c r="D6" s="12"/>
      <c r="E6" t="s">
        <v>7</v>
      </c>
      <c r="G6" s="13">
        <f>(G2/3000)*1000</f>
        <v>87.113333333333316</v>
      </c>
      <c r="H6" s="1"/>
      <c r="I6" s="10"/>
    </row>
    <row r="7" spans="1:10" ht="18">
      <c r="A7" s="11" t="s">
        <v>13</v>
      </c>
      <c r="B7" s="12"/>
      <c r="C7" s="12">
        <v>310</v>
      </c>
      <c r="D7" s="12"/>
      <c r="E7" t="s">
        <v>8</v>
      </c>
      <c r="G7" s="13">
        <f>(G3/3000)*1000</f>
        <v>902.4666666666667</v>
      </c>
      <c r="H7" s="1"/>
    </row>
    <row r="8" spans="1:10" ht="18">
      <c r="A8" s="11" t="s">
        <v>14</v>
      </c>
      <c r="B8" s="12"/>
      <c r="C8" s="12">
        <v>580</v>
      </c>
      <c r="D8" s="12"/>
      <c r="G8" s="13"/>
    </row>
    <row r="9" spans="1:10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2922.8260869565215</v>
      </c>
      <c r="J9" s="6"/>
    </row>
    <row r="10" spans="1:10" ht="18">
      <c r="A10" s="11" t="s">
        <v>29</v>
      </c>
      <c r="B10" s="12"/>
      <c r="C10" s="12"/>
      <c r="D10" s="12"/>
      <c r="E10" t="s">
        <v>10</v>
      </c>
      <c r="G10" s="13">
        <f>(100/16)*G2</f>
        <v>1633.3749999999998</v>
      </c>
      <c r="J10" s="6"/>
    </row>
    <row r="11" spans="1:10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4512.3333333333339</v>
      </c>
      <c r="J11" s="6"/>
    </row>
    <row r="12" spans="1:10">
      <c r="G12" s="13"/>
    </row>
    <row r="13" spans="1:10">
      <c r="C13" s="18"/>
      <c r="E13" t="s">
        <v>18</v>
      </c>
      <c r="G13" s="13">
        <f>(G9/50)*C6</f>
        <v>16952.391304347824</v>
      </c>
      <c r="J13" s="7"/>
    </row>
    <row r="14" spans="1:10">
      <c r="A14" s="17"/>
      <c r="B14" s="17"/>
      <c r="C14" s="17"/>
      <c r="D14" s="17"/>
      <c r="E14" t="s">
        <v>19</v>
      </c>
      <c r="G14" s="13">
        <f>(G10/50)*C7</f>
        <v>10126.924999999999</v>
      </c>
      <c r="J14" s="7"/>
    </row>
    <row r="15" spans="1:10" ht="13.5" thickBot="1">
      <c r="A15" s="27"/>
      <c r="B15" s="27"/>
      <c r="C15" s="27"/>
      <c r="D15" s="17"/>
      <c r="E15" t="s">
        <v>20</v>
      </c>
      <c r="G15" s="13">
        <f>(G11/50)*C8</f>
        <v>52343.06666666668</v>
      </c>
      <c r="J15" s="7"/>
    </row>
    <row r="16" spans="1:10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79422.382971014507</v>
      </c>
      <c r="J16" s="8"/>
    </row>
    <row r="17" spans="1:14" ht="21" thickBot="1">
      <c r="A17" s="26" t="s">
        <v>27</v>
      </c>
      <c r="B17" s="23"/>
      <c r="C17" s="24"/>
      <c r="D17" s="20"/>
    </row>
    <row r="18" spans="1:14" ht="13.5" thickTop="1">
      <c r="A18" s="17"/>
      <c r="B18" s="17"/>
      <c r="C18" s="17"/>
      <c r="D18" s="17"/>
      <c r="E18" s="1" t="s">
        <v>17</v>
      </c>
      <c r="G18" s="4">
        <f>(B4*1000*C11)</f>
        <v>750000</v>
      </c>
      <c r="J18" s="3"/>
    </row>
    <row r="19" spans="1:14">
      <c r="A19" s="17"/>
      <c r="B19" s="17"/>
      <c r="C19" s="17"/>
      <c r="D19" s="17"/>
    </row>
    <row r="20" spans="1:14" ht="20.25">
      <c r="E20" s="28" t="s">
        <v>21</v>
      </c>
      <c r="F20" s="15"/>
      <c r="G20" s="16">
        <f>G18-G16-(C9*3000)</f>
        <v>430577.61702898552</v>
      </c>
      <c r="J20" s="29"/>
    </row>
    <row r="21" spans="1:14">
      <c r="A21" s="9"/>
    </row>
    <row r="25" spans="1:14">
      <c r="N25" s="20"/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19" sqref="C19"/>
    </sheetView>
  </sheetViews>
  <sheetFormatPr defaultRowHeight="12.75"/>
  <cols>
    <col min="1" max="1" width="20.85546875" customWidth="1"/>
    <col min="7" max="7" width="15.42578125" customWidth="1"/>
  </cols>
  <sheetData>
    <row r="1" spans="1:7" ht="18">
      <c r="A1" s="11" t="s">
        <v>3</v>
      </c>
      <c r="B1" s="12">
        <v>125</v>
      </c>
      <c r="C1" s="12"/>
      <c r="D1" s="12"/>
      <c r="E1" t="s">
        <v>0</v>
      </c>
      <c r="G1" s="13">
        <f>(26.7*B4)-(0.76*B1)</f>
        <v>839.5</v>
      </c>
    </row>
    <row r="2" spans="1:7" ht="18">
      <c r="A2" s="11" t="s">
        <v>4</v>
      </c>
      <c r="B2" s="12">
        <v>20</v>
      </c>
      <c r="C2" s="12"/>
      <c r="D2" s="12"/>
      <c r="E2" t="s">
        <v>1</v>
      </c>
      <c r="G2" s="13">
        <f>(3.61*B4)-(0.73*B2)</f>
        <v>111.75</v>
      </c>
    </row>
    <row r="3" spans="1:7" ht="18">
      <c r="A3" s="11" t="s">
        <v>5</v>
      </c>
      <c r="B3" s="12">
        <v>205</v>
      </c>
      <c r="C3" s="12"/>
      <c r="D3" s="12"/>
      <c r="E3" t="s">
        <v>2</v>
      </c>
      <c r="G3" s="13">
        <f>(41.98*B4)-(0.96*B3)</f>
        <v>1272.5</v>
      </c>
    </row>
    <row r="4" spans="1:7" ht="18">
      <c r="A4" s="11" t="s">
        <v>22</v>
      </c>
      <c r="B4" s="12">
        <v>35</v>
      </c>
      <c r="C4" s="12"/>
      <c r="D4" s="12"/>
      <c r="G4" s="13"/>
    </row>
    <row r="5" spans="1:7" ht="18">
      <c r="A5" s="11"/>
      <c r="B5" s="12"/>
      <c r="C5" s="12"/>
      <c r="D5" s="12"/>
      <c r="E5" t="s">
        <v>6</v>
      </c>
      <c r="G5" s="13">
        <f>(G1/2500)*1000</f>
        <v>335.8</v>
      </c>
    </row>
    <row r="6" spans="1:7" ht="18">
      <c r="A6" s="11" t="s">
        <v>12</v>
      </c>
      <c r="B6" s="12"/>
      <c r="C6" s="12">
        <v>290</v>
      </c>
      <c r="D6" s="12"/>
      <c r="E6" t="s">
        <v>7</v>
      </c>
      <c r="G6" s="13">
        <f>(G2/2500)*1000</f>
        <v>44.699999999999996</v>
      </c>
    </row>
    <row r="7" spans="1:7" ht="18">
      <c r="A7" s="11" t="s">
        <v>13</v>
      </c>
      <c r="B7" s="12"/>
      <c r="C7" s="12">
        <v>310</v>
      </c>
      <c r="D7" s="12"/>
      <c r="E7" t="s">
        <v>8</v>
      </c>
      <c r="G7" s="13">
        <f>(G3/2500)*1000</f>
        <v>509</v>
      </c>
    </row>
    <row r="8" spans="1:7" ht="18">
      <c r="A8" s="11" t="s">
        <v>14</v>
      </c>
      <c r="B8" s="12"/>
      <c r="C8" s="12">
        <v>580</v>
      </c>
      <c r="D8" s="12"/>
      <c r="G8" s="13"/>
    </row>
    <row r="9" spans="1:7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1825</v>
      </c>
    </row>
    <row r="10" spans="1:7" ht="18">
      <c r="A10" s="11" t="s">
        <v>30</v>
      </c>
      <c r="B10" s="12"/>
      <c r="C10" s="12"/>
      <c r="D10" s="12"/>
      <c r="E10" t="s">
        <v>10</v>
      </c>
      <c r="G10" s="13">
        <f>(100/16)*G2</f>
        <v>698.4375</v>
      </c>
    </row>
    <row r="11" spans="1:7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2120.8333333333335</v>
      </c>
    </row>
    <row r="12" spans="1:7">
      <c r="G12" s="13"/>
    </row>
    <row r="13" spans="1:7">
      <c r="C13" s="18"/>
      <c r="E13" t="s">
        <v>18</v>
      </c>
      <c r="G13" s="13">
        <f>(G9/50)*C6</f>
        <v>10585</v>
      </c>
    </row>
    <row r="14" spans="1:7">
      <c r="A14" s="17"/>
      <c r="B14" s="17"/>
      <c r="C14" s="17"/>
      <c r="D14" s="17"/>
      <c r="E14" t="s">
        <v>19</v>
      </c>
      <c r="G14" s="13">
        <f>(G10/50)*C7</f>
        <v>4330.3125</v>
      </c>
    </row>
    <row r="15" spans="1:7" ht="13.5" thickBot="1">
      <c r="A15" s="27"/>
      <c r="B15" s="27"/>
      <c r="C15" s="27"/>
      <c r="D15" s="17"/>
      <c r="E15" t="s">
        <v>20</v>
      </c>
      <c r="G15" s="13">
        <f>(G11/50)*C8</f>
        <v>24601.666666666668</v>
      </c>
    </row>
    <row r="16" spans="1:7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39516.979166666672</v>
      </c>
    </row>
    <row r="17" spans="1:7" ht="21" thickBot="1">
      <c r="A17" s="26" t="s">
        <v>28</v>
      </c>
      <c r="B17" s="23"/>
      <c r="C17" s="24"/>
      <c r="D17" s="20"/>
    </row>
    <row r="18" spans="1:7" ht="13.5" thickTop="1">
      <c r="A18" s="17"/>
      <c r="B18" s="17"/>
      <c r="C18" s="17"/>
      <c r="D18" s="17"/>
      <c r="E18" s="1" t="s">
        <v>17</v>
      </c>
      <c r="G18" s="4">
        <f>(B4*1000*C11)</f>
        <v>525000</v>
      </c>
    </row>
    <row r="19" spans="1:7">
      <c r="A19" s="17"/>
      <c r="B19" s="17"/>
      <c r="C19" s="17"/>
      <c r="D19" s="17"/>
    </row>
    <row r="20" spans="1:7" ht="18">
      <c r="E20" s="28" t="s">
        <v>21</v>
      </c>
      <c r="F20" s="15"/>
      <c r="G20" s="16">
        <f>G18-G16-(C9*2500)</f>
        <v>285483.02083333331</v>
      </c>
    </row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36" sqref="E36"/>
    </sheetView>
  </sheetViews>
  <sheetFormatPr defaultRowHeight="12.75"/>
  <cols>
    <col min="1" max="1" width="21.42578125" customWidth="1"/>
    <col min="7" max="7" width="12.85546875" customWidth="1"/>
  </cols>
  <sheetData>
    <row r="1" spans="1:7" ht="18">
      <c r="A1" s="11" t="s">
        <v>3</v>
      </c>
      <c r="B1" s="12">
        <v>125</v>
      </c>
      <c r="C1" s="12"/>
      <c r="D1" s="12"/>
      <c r="E1" t="s">
        <v>0</v>
      </c>
      <c r="G1" s="13">
        <f>(19*B4)-(0.84*B1)</f>
        <v>560</v>
      </c>
    </row>
    <row r="2" spans="1:7" ht="18">
      <c r="A2" s="11" t="s">
        <v>4</v>
      </c>
      <c r="B2" s="12">
        <v>20</v>
      </c>
      <c r="C2" s="12"/>
      <c r="D2" s="12"/>
      <c r="E2" t="s">
        <v>1</v>
      </c>
      <c r="G2" s="13">
        <f>(2.41*B4)-(0.76*B2)</f>
        <v>69.150000000000006</v>
      </c>
    </row>
    <row r="3" spans="1:7" ht="18">
      <c r="A3" s="11" t="s">
        <v>5</v>
      </c>
      <c r="B3" s="12">
        <v>205</v>
      </c>
      <c r="C3" s="12"/>
      <c r="D3" s="12"/>
      <c r="E3" t="s">
        <v>2</v>
      </c>
      <c r="G3" s="13">
        <f>(33.1*B4)-(0.5*B3)</f>
        <v>1056</v>
      </c>
    </row>
    <row r="4" spans="1:7" ht="18">
      <c r="A4" s="11" t="s">
        <v>22</v>
      </c>
      <c r="B4" s="12">
        <v>35</v>
      </c>
      <c r="C4" s="12"/>
      <c r="D4" s="12"/>
      <c r="G4" s="13"/>
    </row>
    <row r="5" spans="1:7" ht="18">
      <c r="A5" s="11"/>
      <c r="B5" s="12"/>
      <c r="C5" s="12"/>
      <c r="D5" s="12"/>
      <c r="E5" t="s">
        <v>6</v>
      </c>
      <c r="G5" s="13">
        <f>(G1/2500)*1000</f>
        <v>224</v>
      </c>
    </row>
    <row r="6" spans="1:7" ht="18">
      <c r="A6" s="11" t="s">
        <v>12</v>
      </c>
      <c r="B6" s="12"/>
      <c r="C6" s="12">
        <v>290</v>
      </c>
      <c r="D6" s="12"/>
      <c r="E6" t="s">
        <v>7</v>
      </c>
      <c r="G6" s="13">
        <f>(G2/2500)*1000</f>
        <v>27.66</v>
      </c>
    </row>
    <row r="7" spans="1:7" ht="18">
      <c r="A7" s="11" t="s">
        <v>13</v>
      </c>
      <c r="B7" s="12"/>
      <c r="C7" s="12">
        <v>310</v>
      </c>
      <c r="D7" s="12"/>
      <c r="E7" t="s">
        <v>8</v>
      </c>
      <c r="G7" s="13">
        <f>(G3/2500)*1000</f>
        <v>422.4</v>
      </c>
    </row>
    <row r="8" spans="1:7" ht="18">
      <c r="A8" s="11" t="s">
        <v>14</v>
      </c>
      <c r="B8" s="12"/>
      <c r="C8" s="12">
        <v>580</v>
      </c>
      <c r="D8" s="12"/>
      <c r="G8" s="13"/>
    </row>
    <row r="9" spans="1:7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1217.391304347826</v>
      </c>
    </row>
    <row r="10" spans="1:7" ht="18">
      <c r="A10" s="11" t="s">
        <v>31</v>
      </c>
      <c r="B10" s="12"/>
      <c r="C10" s="12"/>
      <c r="D10" s="12"/>
      <c r="E10" t="s">
        <v>10</v>
      </c>
      <c r="G10" s="13">
        <f>(100/16)*G2</f>
        <v>432.18750000000006</v>
      </c>
    </row>
    <row r="11" spans="1:7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1760</v>
      </c>
    </row>
    <row r="12" spans="1:7">
      <c r="G12" s="13"/>
    </row>
    <row r="13" spans="1:7">
      <c r="C13" s="18"/>
      <c r="E13" t="s">
        <v>18</v>
      </c>
      <c r="G13" s="13">
        <f>(G9/50)*C6</f>
        <v>7060.869565217391</v>
      </c>
    </row>
    <row r="14" spans="1:7">
      <c r="A14" s="17"/>
      <c r="B14" s="17"/>
      <c r="C14" s="17"/>
      <c r="D14" s="17"/>
      <c r="E14" t="s">
        <v>19</v>
      </c>
      <c r="G14" s="13">
        <f>(G10/50)*C7</f>
        <v>2679.5625</v>
      </c>
    </row>
    <row r="15" spans="1:7" ht="13.5" thickBot="1">
      <c r="A15" s="27"/>
      <c r="B15" s="27"/>
      <c r="C15" s="27"/>
      <c r="D15" s="17"/>
      <c r="E15" t="s">
        <v>20</v>
      </c>
      <c r="G15" s="13">
        <f>(G11/50)*C8</f>
        <v>20416</v>
      </c>
    </row>
    <row r="16" spans="1:7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30156.432065217392</v>
      </c>
    </row>
    <row r="17" spans="1:7" ht="21" thickBot="1">
      <c r="A17" s="26" t="s">
        <v>32</v>
      </c>
      <c r="B17" s="23"/>
      <c r="C17" s="24"/>
      <c r="D17" s="20"/>
    </row>
    <row r="18" spans="1:7" ht="13.5" thickTop="1">
      <c r="A18" s="17"/>
      <c r="B18" s="17"/>
      <c r="C18" s="17"/>
      <c r="D18" s="17"/>
      <c r="E18" s="1" t="s">
        <v>17</v>
      </c>
      <c r="G18" s="4">
        <f>(B4*1000*C11)</f>
        <v>525000</v>
      </c>
    </row>
    <row r="19" spans="1:7">
      <c r="A19" s="17"/>
      <c r="B19" s="17"/>
      <c r="C19" s="17"/>
      <c r="D19" s="17"/>
    </row>
    <row r="20" spans="1:7" ht="18">
      <c r="E20" s="28" t="s">
        <v>21</v>
      </c>
      <c r="F20" s="15"/>
      <c r="G20" s="16">
        <f>G18-G16-(C9*2500)</f>
        <v>294843.56793478259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28" sqref="E28"/>
    </sheetView>
  </sheetViews>
  <sheetFormatPr defaultRowHeight="12.75"/>
  <cols>
    <col min="1" max="1" width="23" customWidth="1"/>
    <col min="2" max="2" width="9.28515625" customWidth="1"/>
    <col min="7" max="7" width="13" customWidth="1"/>
  </cols>
  <sheetData>
    <row r="1" spans="1:7" ht="18">
      <c r="A1" s="11" t="s">
        <v>3</v>
      </c>
      <c r="B1" s="12">
        <v>125</v>
      </c>
      <c r="C1" s="12"/>
      <c r="D1" s="12"/>
      <c r="E1" t="s">
        <v>0</v>
      </c>
      <c r="G1" s="13">
        <f>(18.34*B4)-(0.92*B1)</f>
        <v>526.9</v>
      </c>
    </row>
    <row r="2" spans="1:7" ht="18">
      <c r="A2" s="11" t="s">
        <v>4</v>
      </c>
      <c r="B2" s="12">
        <v>20</v>
      </c>
      <c r="C2" s="12"/>
      <c r="D2" s="12"/>
      <c r="E2" t="s">
        <v>1</v>
      </c>
      <c r="G2" s="13">
        <f>(2.77*B4)-(0.74*B2)</f>
        <v>82.15</v>
      </c>
    </row>
    <row r="3" spans="1:7" ht="18">
      <c r="A3" s="11" t="s">
        <v>5</v>
      </c>
      <c r="B3" s="12">
        <v>205</v>
      </c>
      <c r="C3" s="12"/>
      <c r="D3" s="12"/>
      <c r="E3" t="s">
        <v>2</v>
      </c>
      <c r="G3" s="13">
        <f>(39.85*B4)-(0.78*B3)</f>
        <v>1234.8499999999999</v>
      </c>
    </row>
    <row r="4" spans="1:7" ht="18">
      <c r="A4" s="11" t="s">
        <v>22</v>
      </c>
      <c r="B4" s="12">
        <v>35</v>
      </c>
      <c r="C4" s="12"/>
      <c r="D4" s="12"/>
      <c r="G4" s="13"/>
    </row>
    <row r="5" spans="1:7" ht="18">
      <c r="A5" s="11"/>
      <c r="B5" s="12"/>
      <c r="C5" s="12"/>
      <c r="D5" s="12"/>
      <c r="E5" t="s">
        <v>6</v>
      </c>
      <c r="G5" s="13">
        <f>(G1/2500)*1000</f>
        <v>210.76</v>
      </c>
    </row>
    <row r="6" spans="1:7" ht="18">
      <c r="A6" s="11" t="s">
        <v>12</v>
      </c>
      <c r="B6" s="12"/>
      <c r="C6" s="12">
        <v>290</v>
      </c>
      <c r="D6" s="12"/>
      <c r="E6" t="s">
        <v>7</v>
      </c>
      <c r="G6" s="13">
        <f>(G2/2500)*1000</f>
        <v>32.86</v>
      </c>
    </row>
    <row r="7" spans="1:7" ht="18">
      <c r="A7" s="11" t="s">
        <v>13</v>
      </c>
      <c r="B7" s="12"/>
      <c r="C7" s="12">
        <v>310</v>
      </c>
      <c r="D7" s="12"/>
      <c r="E7" t="s">
        <v>8</v>
      </c>
      <c r="G7" s="13">
        <f>(G3/2500)*1000</f>
        <v>493.94</v>
      </c>
    </row>
    <row r="8" spans="1:7" ht="18">
      <c r="A8" s="11" t="s">
        <v>14</v>
      </c>
      <c r="B8" s="12"/>
      <c r="C8" s="12">
        <v>580</v>
      </c>
      <c r="D8" s="12"/>
      <c r="G8" s="13"/>
    </row>
    <row r="9" spans="1:7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1145.4347826086955</v>
      </c>
    </row>
    <row r="10" spans="1:7" ht="18">
      <c r="A10" s="11" t="s">
        <v>33</v>
      </c>
      <c r="B10" s="12"/>
      <c r="C10" s="12"/>
      <c r="D10" s="12"/>
      <c r="E10" t="s">
        <v>10</v>
      </c>
      <c r="G10" s="13">
        <f>(100/16)*G2</f>
        <v>513.4375</v>
      </c>
    </row>
    <row r="11" spans="1:7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2058.0833333333335</v>
      </c>
    </row>
    <row r="12" spans="1:7">
      <c r="G12" s="13"/>
    </row>
    <row r="13" spans="1:7">
      <c r="C13" s="18"/>
      <c r="E13" t="s">
        <v>18</v>
      </c>
      <c r="G13" s="13">
        <f>(G9/50)*C6</f>
        <v>6643.5217391304341</v>
      </c>
    </row>
    <row r="14" spans="1:7">
      <c r="A14" s="17"/>
      <c r="B14" s="17"/>
      <c r="C14" s="17"/>
      <c r="D14" s="17"/>
      <c r="E14" t="s">
        <v>19</v>
      </c>
      <c r="G14" s="13">
        <f>(G10/50)*C7</f>
        <v>3183.3125</v>
      </c>
    </row>
    <row r="15" spans="1:7" ht="13.5" thickBot="1">
      <c r="A15" s="27"/>
      <c r="B15" s="27"/>
      <c r="C15" s="27"/>
      <c r="D15" s="17"/>
      <c r="E15" t="s">
        <v>20</v>
      </c>
      <c r="G15" s="13">
        <f>(G11/50)*C8</f>
        <v>23873.766666666666</v>
      </c>
    </row>
    <row r="16" spans="1:7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33700.600905797102</v>
      </c>
    </row>
    <row r="17" spans="1:7" ht="21" thickBot="1">
      <c r="A17" s="26" t="s">
        <v>34</v>
      </c>
      <c r="B17" s="23"/>
      <c r="C17" s="24"/>
      <c r="D17" s="20"/>
    </row>
    <row r="18" spans="1:7" ht="13.5" thickTop="1">
      <c r="A18" s="17"/>
      <c r="B18" s="17"/>
      <c r="C18" s="17"/>
      <c r="D18" s="17"/>
      <c r="E18" s="1" t="s">
        <v>17</v>
      </c>
      <c r="G18" s="4">
        <f>(B4*1000*C11)</f>
        <v>525000</v>
      </c>
    </row>
    <row r="19" spans="1:7">
      <c r="A19" s="17"/>
      <c r="B19" s="17"/>
      <c r="C19" s="17"/>
      <c r="D19" s="17"/>
    </row>
    <row r="20" spans="1:7" ht="18">
      <c r="E20" s="28" t="s">
        <v>21</v>
      </c>
      <c r="F20" s="15"/>
      <c r="G20" s="16">
        <f>G18-G16-(C9*2500)</f>
        <v>291299.3990942029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topLeftCell="A4" workbookViewId="0">
      <selection activeCell="B5" sqref="B5"/>
    </sheetView>
  </sheetViews>
  <sheetFormatPr defaultRowHeight="12.75"/>
  <cols>
    <col min="1" max="1" width="26.85546875" customWidth="1"/>
    <col min="7" max="7" width="13.28515625" customWidth="1"/>
  </cols>
  <sheetData>
    <row r="1" spans="1:7" ht="18">
      <c r="A1" s="11" t="s">
        <v>3</v>
      </c>
      <c r="B1" s="12">
        <v>100</v>
      </c>
      <c r="C1" s="12"/>
      <c r="D1" s="12"/>
      <c r="E1" t="s">
        <v>0</v>
      </c>
      <c r="G1" s="13">
        <f>(21.6*B4)-(0.83*B1)</f>
        <v>565</v>
      </c>
    </row>
    <row r="2" spans="1:7" ht="18">
      <c r="A2" s="11" t="s">
        <v>4</v>
      </c>
      <c r="B2" s="12">
        <v>20</v>
      </c>
      <c r="C2" s="12"/>
      <c r="D2" s="12"/>
      <c r="E2" t="s">
        <v>1</v>
      </c>
      <c r="G2" s="13">
        <f>(3.21*B4)-(0.76*B2)</f>
        <v>81.099999999999994</v>
      </c>
    </row>
    <row r="3" spans="1:7" ht="18">
      <c r="A3" s="11" t="s">
        <v>5</v>
      </c>
      <c r="B3" s="12">
        <v>205</v>
      </c>
      <c r="C3" s="12"/>
      <c r="D3" s="12"/>
      <c r="E3" t="s">
        <v>2</v>
      </c>
      <c r="G3" s="13">
        <f>(22.4*B4)-(0.59*B3)</f>
        <v>551.04999999999995</v>
      </c>
    </row>
    <row r="4" spans="1:7" ht="18">
      <c r="A4" s="11" t="s">
        <v>22</v>
      </c>
      <c r="B4" s="12">
        <v>30</v>
      </c>
      <c r="C4" s="12"/>
      <c r="D4" s="12"/>
      <c r="G4" s="13"/>
    </row>
    <row r="5" spans="1:7" ht="18">
      <c r="A5" s="11"/>
      <c r="B5" s="12"/>
      <c r="C5" s="12"/>
      <c r="D5" s="12"/>
      <c r="E5" t="s">
        <v>6</v>
      </c>
      <c r="G5" s="13">
        <f>(G1/2500)*1000</f>
        <v>226</v>
      </c>
    </row>
    <row r="6" spans="1:7" ht="18">
      <c r="A6" s="11" t="s">
        <v>12</v>
      </c>
      <c r="B6" s="12"/>
      <c r="C6" s="12">
        <v>290</v>
      </c>
      <c r="D6" s="12"/>
      <c r="E6" t="s">
        <v>7</v>
      </c>
      <c r="G6" s="13">
        <f>(G2/2500)*1000</f>
        <v>32.44</v>
      </c>
    </row>
    <row r="7" spans="1:7" ht="18">
      <c r="A7" s="11" t="s">
        <v>13</v>
      </c>
      <c r="B7" s="12"/>
      <c r="C7" s="12">
        <v>310</v>
      </c>
      <c r="D7" s="12"/>
      <c r="E7" t="s">
        <v>8</v>
      </c>
      <c r="G7" s="13">
        <f>(G3/2500)*1000</f>
        <v>220.42</v>
      </c>
    </row>
    <row r="8" spans="1:7" ht="18">
      <c r="A8" s="11" t="s">
        <v>14</v>
      </c>
      <c r="B8" s="12"/>
      <c r="C8" s="12">
        <v>580</v>
      </c>
      <c r="D8" s="12"/>
      <c r="G8" s="13"/>
    </row>
    <row r="9" spans="1:7" ht="18">
      <c r="A9" s="1" t="s">
        <v>26</v>
      </c>
      <c r="B9" s="12"/>
      <c r="C9" s="12">
        <v>80</v>
      </c>
      <c r="D9" s="12"/>
      <c r="E9" t="s">
        <v>9</v>
      </c>
      <c r="G9" s="13">
        <f>(100/46)*G1</f>
        <v>1228.2608695652173</v>
      </c>
    </row>
    <row r="10" spans="1:7" ht="18">
      <c r="A10" s="11" t="s">
        <v>35</v>
      </c>
      <c r="B10" s="12"/>
      <c r="C10" s="12"/>
      <c r="D10" s="12"/>
      <c r="E10" t="s">
        <v>10</v>
      </c>
      <c r="G10" s="13">
        <f>(100/16)*G2</f>
        <v>506.87499999999994</v>
      </c>
    </row>
    <row r="11" spans="1:7" ht="18">
      <c r="A11" s="11" t="s">
        <v>16</v>
      </c>
      <c r="B11" s="12"/>
      <c r="C11" s="12">
        <v>15</v>
      </c>
      <c r="D11" s="12"/>
      <c r="E11" t="s">
        <v>11</v>
      </c>
      <c r="G11" s="13">
        <f>(100/60)*G3</f>
        <v>918.41666666666663</v>
      </c>
    </row>
    <row r="12" spans="1:7">
      <c r="G12" s="13"/>
    </row>
    <row r="13" spans="1:7">
      <c r="C13" s="18"/>
      <c r="E13" t="s">
        <v>18</v>
      </c>
      <c r="G13" s="13">
        <f>(G9/50)*C6</f>
        <v>7123.9130434782601</v>
      </c>
    </row>
    <row r="14" spans="1:7">
      <c r="A14" s="17"/>
      <c r="B14" s="17"/>
      <c r="C14" s="17"/>
      <c r="D14" s="17"/>
      <c r="E14" t="s">
        <v>19</v>
      </c>
      <c r="G14" s="13">
        <f>(G10/50)*C7</f>
        <v>3142.625</v>
      </c>
    </row>
    <row r="15" spans="1:7" ht="13.5" thickBot="1">
      <c r="A15" s="27"/>
      <c r="B15" s="27"/>
      <c r="C15" s="27"/>
      <c r="D15" s="17"/>
      <c r="E15" t="s">
        <v>20</v>
      </c>
      <c r="G15" s="13">
        <f>(G11/50)*C8</f>
        <v>10653.633333333333</v>
      </c>
    </row>
    <row r="16" spans="1:7" ht="21" thickTop="1">
      <c r="A16" s="25" t="s">
        <v>24</v>
      </c>
      <c r="B16" s="21"/>
      <c r="C16" s="22"/>
      <c r="D16" s="17"/>
      <c r="E16" s="1" t="s">
        <v>15</v>
      </c>
      <c r="G16" s="14">
        <f>G13+G14+G15</f>
        <v>20920.171376811595</v>
      </c>
    </row>
    <row r="17" spans="1:7" ht="21" thickBot="1">
      <c r="A17" s="26" t="s">
        <v>36</v>
      </c>
      <c r="B17" s="23"/>
      <c r="C17" s="24"/>
      <c r="D17" s="20"/>
    </row>
    <row r="18" spans="1:7" ht="13.5" thickTop="1">
      <c r="A18" s="17"/>
      <c r="B18" s="17"/>
      <c r="C18" s="17"/>
      <c r="D18" s="17"/>
      <c r="E18" s="1" t="s">
        <v>17</v>
      </c>
      <c r="G18" s="4">
        <f>(B4*1000*C11)</f>
        <v>450000</v>
      </c>
    </row>
    <row r="19" spans="1:7">
      <c r="A19" s="17"/>
      <c r="B19" s="17"/>
      <c r="C19" s="17"/>
      <c r="D19" s="17"/>
    </row>
    <row r="20" spans="1:7" ht="18">
      <c r="E20" s="28" t="s">
        <v>21</v>
      </c>
      <c r="F20" s="15"/>
      <c r="G20" s="16">
        <f>G18-G16-(C9*2500)</f>
        <v>229079.82862318843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Grand Naine</vt:lpstr>
      <vt:lpstr>Nendran</vt:lpstr>
      <vt:lpstr>Poovan</vt:lpstr>
      <vt:lpstr>Ney Poovan</vt:lpstr>
      <vt:lpstr>Rasthali</vt:lpstr>
      <vt:lpstr>Karpuravalli</vt:lpstr>
    </vt:vector>
  </TitlesOfParts>
  <Company>riv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virology</cp:lastModifiedBy>
  <dcterms:created xsi:type="dcterms:W3CDTF">2006-03-28T05:19:18Z</dcterms:created>
  <dcterms:modified xsi:type="dcterms:W3CDTF">2015-11-27T10:15:44Z</dcterms:modified>
</cp:coreProperties>
</file>